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hodel\Desktop\CALCULATORS\SMSF CALCS\"/>
    </mc:Choice>
  </mc:AlternateContent>
  <xr:revisionPtr revIDLastSave="0" documentId="8_{7634E9C1-1BE8-4230-B4CF-F6F8765B375A}" xr6:coauthVersionLast="47" xr6:coauthVersionMax="47" xr10:uidLastSave="{00000000-0000-0000-0000-000000000000}"/>
  <workbookProtection workbookAlgorithmName="SHA-512" workbookHashValue="zJo5w2rZiAs0uy/mBg8nzh26116ZlNuWif4xPcFY6jRVBnVCwQo68eqrb3UA42NIjGXeIBgD9x2Dr6C8nz+SKg==" workbookSaltValue="laYRniVFYcp3ti+VQn93+g==" workbookSpinCount="100000" lockStructure="1"/>
  <bookViews>
    <workbookView xWindow="-120" yWindow="-120" windowWidth="29040" windowHeight="15840" xr2:uid="{00000000-000D-0000-FFFF-FFFF00000000}"/>
  </bookViews>
  <sheets>
    <sheet name="SMSF Servicability Calc" sheetId="1" r:id="rId1"/>
    <sheet name="Version History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N34" i="1" s="1"/>
  <c r="H82" i="1" s="1"/>
  <c r="B86" i="1"/>
  <c r="E76" i="1"/>
  <c r="H76" i="1" s="1"/>
  <c r="H68" i="1"/>
  <c r="H67" i="1"/>
  <c r="H79" i="1" s="1"/>
  <c r="E65" i="1"/>
  <c r="H47" i="1"/>
  <c r="N32" i="1"/>
  <c r="AB27" i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U24" i="1"/>
  <c r="T24" i="1"/>
  <c r="V23" i="1"/>
  <c r="V24" i="1" s="1"/>
  <c r="U23" i="1"/>
  <c r="T23" i="1"/>
  <c r="S23" i="1"/>
  <c r="S24" i="1" s="1"/>
  <c r="R23" i="1"/>
  <c r="R24" i="1" s="1"/>
  <c r="Q23" i="1"/>
  <c r="Q24" i="1" s="1"/>
  <c r="H20" i="1"/>
  <c r="H19" i="1"/>
  <c r="H18" i="1"/>
  <c r="H17" i="1"/>
  <c r="H16" i="1"/>
  <c r="H15" i="1"/>
  <c r="Q12" i="1"/>
  <c r="Q13" i="1" s="1"/>
  <c r="H7" i="1"/>
  <c r="H70" i="1" l="1"/>
  <c r="H78" i="1" s="1"/>
  <c r="P23" i="1"/>
  <c r="W23" i="1" s="1"/>
  <c r="G43" i="1"/>
  <c r="D38" i="1"/>
  <c r="H38" i="1" s="1"/>
  <c r="E38" i="1"/>
  <c r="D43" i="1"/>
  <c r="H43" i="1" s="1"/>
  <c r="F38" i="1"/>
  <c r="E43" i="1"/>
  <c r="H55" i="1"/>
  <c r="G38" i="1"/>
  <c r="F43" i="1"/>
  <c r="H80" i="1"/>
  <c r="E84" i="1" s="1"/>
  <c r="H57" i="1" l="1"/>
  <c r="P24" i="1"/>
  <c r="X23" i="1"/>
  <c r="W24" i="1"/>
  <c r="Y23" i="1" l="1"/>
  <c r="X24" i="1"/>
  <c r="Y24" i="1" l="1"/>
  <c r="H56" i="1"/>
  <c r="H58" i="1" s="1"/>
</calcChain>
</file>

<file path=xl/sharedStrings.xml><?xml version="1.0" encoding="utf-8"?>
<sst xmlns="http://schemas.openxmlformats.org/spreadsheetml/2006/main" count="110" uniqueCount="100">
  <si>
    <t>*Fields in white to be completed</t>
  </si>
  <si>
    <t>Proposed loan</t>
  </si>
  <si>
    <t>Model Variables</t>
  </si>
  <si>
    <t>SMSF Taxation Rate</t>
  </si>
  <si>
    <t>months in year</t>
  </si>
  <si>
    <t>Rent Haircut</t>
  </si>
  <si>
    <t>Proposed Loan amount</t>
  </si>
  <si>
    <t>Investment Loan deduction</t>
  </si>
  <si>
    <t>Actual rates</t>
  </si>
  <si>
    <t>Purchase Price/Property Value</t>
  </si>
  <si>
    <t>LVR</t>
  </si>
  <si>
    <t>Other Income Haircut</t>
  </si>
  <si>
    <t>Liquid Assets (3.5% deeming)</t>
  </si>
  <si>
    <t>SMSF Contributions</t>
  </si>
  <si>
    <t>Commercial Rental Haircut</t>
  </si>
  <si>
    <t>Other Debt Service</t>
  </si>
  <si>
    <t xml:space="preserve">Servicing floor rate </t>
  </si>
  <si>
    <t>Total Number of Members</t>
  </si>
  <si>
    <t>Primne Full Doc checkbox</t>
  </si>
  <si>
    <t>Account Keeping Fee</t>
  </si>
  <si>
    <t>Super Guarantee Contribution (11%)</t>
  </si>
  <si>
    <t>Additional concessional contributions</t>
  </si>
  <si>
    <t>Total concessional contributions</t>
  </si>
  <si>
    <t>Maximum Concessional Contributions</t>
  </si>
  <si>
    <t>Member 1</t>
  </si>
  <si>
    <t>Minimum Liquidity</t>
  </si>
  <si>
    <t>Member 2</t>
  </si>
  <si>
    <t>Member 3</t>
  </si>
  <si>
    <t>Member 4</t>
  </si>
  <si>
    <t>Member 5</t>
  </si>
  <si>
    <t>Member 6</t>
  </si>
  <si>
    <t>SMSF Rental Income (annually)</t>
  </si>
  <si>
    <t>Income Calc</t>
  </si>
  <si>
    <t>Super</t>
  </si>
  <si>
    <t>Liquid Assets (3.5%)</t>
  </si>
  <si>
    <t>New Rent</t>
  </si>
  <si>
    <t>Rent</t>
  </si>
  <si>
    <t>Other Investment income</t>
  </si>
  <si>
    <t>Commercial Rent</t>
  </si>
  <si>
    <t>Interest deduction</t>
  </si>
  <si>
    <t>Total taxable income</t>
  </si>
  <si>
    <t>Tax</t>
  </si>
  <si>
    <t>Net Income</t>
  </si>
  <si>
    <t>annum</t>
  </si>
  <si>
    <t>Proposed Security Rental</t>
  </si>
  <si>
    <t>monthly</t>
  </si>
  <si>
    <t>Other Residential Rental</t>
  </si>
  <si>
    <t>Commercial Rental</t>
  </si>
  <si>
    <t>SMSF Expenses (annually)</t>
  </si>
  <si>
    <t>Total Property Debt</t>
  </si>
  <si>
    <t>Pension Payments</t>
  </si>
  <si>
    <t>SMSF Management Expenses</t>
  </si>
  <si>
    <t>Total Other Debt</t>
  </si>
  <si>
    <t>SMSF Liabilities</t>
  </si>
  <si>
    <t xml:space="preserve">Total Debt </t>
  </si>
  <si>
    <t>Other Mortgage Limits</t>
  </si>
  <si>
    <t>Other Mortgage Rate</t>
  </si>
  <si>
    <t>Actual Repayment</t>
  </si>
  <si>
    <t>Other Mortgage Repayment</t>
  </si>
  <si>
    <t>Other Loan Limits</t>
  </si>
  <si>
    <t>Other Monthly Repayments</t>
  </si>
  <si>
    <t>SMSF Assets</t>
  </si>
  <si>
    <t>Total liquid assets (after settlement)</t>
  </si>
  <si>
    <t>Income Avaliable to Service Mortgage</t>
  </si>
  <si>
    <t>Other investment income per month</t>
  </si>
  <si>
    <t>Interest Deduction (PA)</t>
  </si>
  <si>
    <t>Monthly Net Income</t>
  </si>
  <si>
    <t>Monthly Expenses</t>
  </si>
  <si>
    <t>Income to service Mortgage</t>
  </si>
  <si>
    <t>MORTGAGE FEATURES</t>
  </si>
  <si>
    <t>Repayment Type</t>
  </si>
  <si>
    <t>Principal and Interest</t>
  </si>
  <si>
    <t>Interest Only Term (years)</t>
  </si>
  <si>
    <t>Loan Amount</t>
  </si>
  <si>
    <t>Loan Term (years)</t>
  </si>
  <si>
    <t>Interest Rate</t>
  </si>
  <si>
    <t>Loan Repayment</t>
  </si>
  <si>
    <t>Serviceability Tests</t>
  </si>
  <si>
    <t>Prime Loan</t>
  </si>
  <si>
    <t xml:space="preserve">Stressed interest </t>
  </si>
  <si>
    <t xml:space="preserve">Normal </t>
  </si>
  <si>
    <t>Stressed</t>
  </si>
  <si>
    <t>Surplus at Stress</t>
  </si>
  <si>
    <t>Overall Result</t>
  </si>
  <si>
    <t xml:space="preserve">Servicing </t>
  </si>
  <si>
    <t>Version No.</t>
  </si>
  <si>
    <t>Author / Changes Made By:</t>
  </si>
  <si>
    <t>Date:</t>
  </si>
  <si>
    <t>Change Summary</t>
  </si>
  <si>
    <t>Change Detail</t>
  </si>
  <si>
    <t>Matthew Hodel</t>
  </si>
  <si>
    <t>Original Version</t>
  </si>
  <si>
    <t>Amended hard validation by decreasing min required SMSF Management Expense figure from $3,000 to $1,500</t>
  </si>
  <si>
    <t>Implemented interest deduction (neg gearing)</t>
  </si>
  <si>
    <t>Simplified SMSF Assets section removing Total current SMSF assets, deposit paid &amp; other property acquisition costs fields. Amended wording of liquid assets field</t>
  </si>
  <si>
    <t>New Bluestone Branding added, no material changes</t>
  </si>
  <si>
    <t>Tyler Peters</t>
  </si>
  <si>
    <t>Servicing buffer reduced to 2%, liquidity changed to 5%, introduced other inv income field</t>
  </si>
  <si>
    <t>SMSF Liquidity</t>
  </si>
  <si>
    <t xml:space="preserve">Loan term adjusted to include minimum 10 year term now. Removed Liquidity Pass/Fail logic from H84 because 0% liquidity policy is now live. Retained SMSF Liquidity calculation in H82 but just renamed from SMSF Liquid Test to SMSF Liquidity.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</si>
</sst>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164" formatCode="&quot;$&quot;#,##0"/>
    <numFmt numFmtId="165" formatCode="&quot;$&quot;#,##0.00"/>
    <numFmt numFmtId="166" formatCode="[$$]#,##0.00"/>
    <numFmt numFmtId="167" formatCode="#,##0.0"/>
    <numFmt numFmtId="168" formatCode="d/m/yyyy"/>
  </numFmts>
  <fonts count="2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101A34"/>
      <name val="Arimo"/>
    </font>
    <font>
      <i/>
      <sz val="10"/>
      <color rgb="FF101A34"/>
      <name val="Arimo"/>
    </font>
    <font>
      <sz val="10"/>
      <color rgb="FF101A34"/>
      <name val="Arimo"/>
    </font>
    <font>
      <sz val="11"/>
      <color theme="1"/>
      <name val="Arimo"/>
    </font>
    <font>
      <sz val="10"/>
      <color theme="0"/>
      <name val="Arimo"/>
    </font>
    <font>
      <b/>
      <sz val="12"/>
      <color rgb="FF3F3F3F"/>
      <name val="Arimo"/>
    </font>
    <font>
      <sz val="8"/>
      <color theme="1"/>
      <name val="Arimo"/>
    </font>
    <font>
      <sz val="10"/>
      <color rgb="FFFFFFFF"/>
      <name val="Arimo"/>
    </font>
    <font>
      <sz val="8"/>
      <color rgb="FF0000FF"/>
      <name val="Arimo"/>
    </font>
    <font>
      <sz val="10"/>
      <color rgb="FF4472C4"/>
      <name val="Arimo"/>
    </font>
    <font>
      <sz val="12"/>
      <color theme="1"/>
      <name val="Arimo"/>
    </font>
    <font>
      <sz val="10"/>
      <color rgb="FF366092"/>
      <name val="Arimo"/>
    </font>
    <font>
      <i/>
      <sz val="8"/>
      <color rgb="FF0000FF"/>
      <name val="Arimo"/>
    </font>
    <font>
      <sz val="11"/>
      <color rgb="FF3F3F3F"/>
      <name val="Arimo"/>
    </font>
    <font>
      <sz val="10"/>
      <color theme="1"/>
      <name val="Arimo"/>
    </font>
    <font>
      <sz val="8"/>
      <color rgb="FF101A34"/>
      <name val="Arimo"/>
    </font>
    <font>
      <sz val="10"/>
      <color theme="4"/>
      <name val="Arimo"/>
    </font>
    <font>
      <sz val="11"/>
      <name val="Calibri"/>
    </font>
    <font>
      <strike/>
      <sz val="11"/>
      <color theme="1"/>
      <name val="Arimo"/>
    </font>
    <font>
      <b/>
      <sz val="10"/>
      <color rgb="FF101A34"/>
      <name val="Arimo"/>
    </font>
    <font>
      <b/>
      <sz val="11"/>
      <color rgb="FF3F3F3F"/>
      <name val="Calibri"/>
    </font>
    <font>
      <sz val="11"/>
      <color rgb="FF3F3F3F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01A34"/>
        <bgColor rgb="FF101A3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5E6FF"/>
        <bgColor rgb="FFE5E6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/>
    <xf numFmtId="9" fontId="5" fillId="0" borderId="0" xfId="0" applyNumberFormat="1" applyFont="1"/>
    <xf numFmtId="0" fontId="8" fillId="0" borderId="0" xfId="0" applyFont="1" applyAlignment="1">
      <alignment horizontal="right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8" fillId="0" borderId="0" xfId="0" applyFont="1"/>
    <xf numFmtId="0" fontId="10" fillId="4" borderId="2" xfId="0" applyFont="1" applyFill="1" applyBorder="1" applyAlignment="1">
      <alignment horizontal="right"/>
    </xf>
    <xf numFmtId="16" fontId="8" fillId="0" borderId="0" xfId="0" applyNumberFormat="1" applyFont="1"/>
    <xf numFmtId="0" fontId="11" fillId="0" borderId="0" xfId="0" applyFont="1"/>
    <xf numFmtId="10" fontId="10" fillId="0" borderId="0" xfId="0" applyNumberFormat="1" applyFont="1" applyAlignment="1">
      <alignment horizontal="right"/>
    </xf>
    <xf numFmtId="16" fontId="12" fillId="0" borderId="0" xfId="0" applyNumberFormat="1" applyFont="1"/>
    <xf numFmtId="0" fontId="14" fillId="0" borderId="0" xfId="0" applyFont="1" applyAlignment="1">
      <alignment horizontal="right"/>
    </xf>
    <xf numFmtId="0" fontId="12" fillId="0" borderId="0" xfId="0" applyFont="1"/>
    <xf numFmtId="10" fontId="4" fillId="5" borderId="2" xfId="0" applyNumberFormat="1" applyFont="1" applyFill="1" applyBorder="1" applyAlignment="1">
      <alignment vertical="center"/>
    </xf>
    <xf numFmtId="0" fontId="15" fillId="0" borderId="0" xfId="0" applyFont="1"/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right"/>
    </xf>
    <xf numFmtId="8" fontId="17" fillId="0" borderId="0" xfId="0" applyNumberFormat="1" applyFont="1" applyAlignment="1">
      <alignment horizontal="right"/>
    </xf>
    <xf numFmtId="0" fontId="16" fillId="0" borderId="0" xfId="0" applyFont="1" applyAlignment="1">
      <alignment wrapText="1"/>
    </xf>
    <xf numFmtId="0" fontId="4" fillId="0" borderId="3" xfId="0" applyFont="1" applyBorder="1" applyAlignment="1">
      <alignment horizontal="center" wrapText="1"/>
    </xf>
    <xf numFmtId="164" fontId="2" fillId="0" borderId="0" xfId="0" applyNumberFormat="1" applyFont="1"/>
    <xf numFmtId="9" fontId="2" fillId="0" borderId="0" xfId="0" applyNumberFormat="1" applyFont="1"/>
    <xf numFmtId="165" fontId="4" fillId="5" borderId="3" xfId="0" applyNumberFormat="1" applyFont="1" applyFill="1" applyBorder="1"/>
    <xf numFmtId="0" fontId="1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9" fillId="2" borderId="2" xfId="0" applyFont="1" applyFill="1" applyBorder="1"/>
    <xf numFmtId="164" fontId="5" fillId="0" borderId="0" xfId="0" applyNumberFormat="1" applyFont="1"/>
    <xf numFmtId="0" fontId="4" fillId="3" borderId="2" xfId="0" applyFont="1" applyFill="1" applyBorder="1"/>
    <xf numFmtId="164" fontId="4" fillId="5" borderId="3" xfId="0" applyNumberFormat="1" applyFont="1" applyFill="1" applyBorder="1"/>
    <xf numFmtId="164" fontId="4" fillId="6" borderId="3" xfId="0" applyNumberFormat="1" applyFont="1" applyFill="1" applyBorder="1"/>
    <xf numFmtId="0" fontId="5" fillId="0" borderId="0" xfId="0" applyFont="1" applyAlignment="1">
      <alignment wrapText="1"/>
    </xf>
    <xf numFmtId="166" fontId="4" fillId="0" borderId="3" xfId="0" applyNumberFormat="1" applyFont="1" applyBorder="1" applyAlignment="1">
      <alignment wrapText="1"/>
    </xf>
    <xf numFmtId="0" fontId="20" fillId="0" borderId="0" xfId="0" applyFont="1"/>
    <xf numFmtId="0" fontId="9" fillId="2" borderId="6" xfId="0" applyFont="1" applyFill="1" applyBorder="1"/>
    <xf numFmtId="165" fontId="16" fillId="6" borderId="3" xfId="0" applyNumberFormat="1" applyFont="1" applyFill="1" applyBorder="1"/>
    <xf numFmtId="165" fontId="16" fillId="5" borderId="2" xfId="0" applyNumberFormat="1" applyFont="1" applyFill="1" applyBorder="1"/>
    <xf numFmtId="0" fontId="9" fillId="2" borderId="3" xfId="0" applyFont="1" applyFill="1" applyBorder="1"/>
    <xf numFmtId="0" fontId="16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5" borderId="2" xfId="0" applyFont="1" applyFill="1" applyBorder="1"/>
    <xf numFmtId="10" fontId="4" fillId="5" borderId="2" xfId="0" applyNumberFormat="1" applyFont="1" applyFill="1" applyBorder="1"/>
    <xf numFmtId="166" fontId="4" fillId="5" borderId="2" xfId="0" applyNumberFormat="1" applyFont="1" applyFill="1" applyBorder="1"/>
    <xf numFmtId="165" fontId="4" fillId="5" borderId="2" xfId="0" applyNumberFormat="1" applyFont="1" applyFill="1" applyBorder="1"/>
    <xf numFmtId="165" fontId="21" fillId="5" borderId="9" xfId="0" applyNumberFormat="1" applyFont="1" applyFill="1" applyBorder="1" applyAlignment="1">
      <alignment horizontal="right" vertical="center"/>
    </xf>
    <xf numFmtId="167" fontId="22" fillId="0" borderId="0" xfId="0" applyNumberFormat="1" applyFont="1" applyAlignment="1">
      <alignment horizontal="center"/>
    </xf>
    <xf numFmtId="0" fontId="22" fillId="0" borderId="0" xfId="0" applyFont="1"/>
    <xf numFmtId="15" fontId="22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0" fontId="23" fillId="0" borderId="0" xfId="0" applyFont="1"/>
    <xf numFmtId="15" fontId="24" fillId="0" borderId="0" xfId="0" applyNumberFormat="1" applyFont="1"/>
    <xf numFmtId="15" fontId="24" fillId="0" borderId="0" xfId="0" applyNumberFormat="1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168" fontId="25" fillId="0" borderId="0" xfId="0" applyNumberFormat="1" applyFont="1"/>
    <xf numFmtId="164" fontId="13" fillId="3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Protection="1">
      <protection locked="0"/>
    </xf>
    <xf numFmtId="165" fontId="4" fillId="0" borderId="3" xfId="0" applyNumberFormat="1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10" fontId="4" fillId="0" borderId="3" xfId="0" applyNumberFormat="1" applyFont="1" applyBorder="1" applyProtection="1">
      <protection locked="0"/>
    </xf>
    <xf numFmtId="164" fontId="4" fillId="3" borderId="3" xfId="0" applyNumberFormat="1" applyFont="1" applyFill="1" applyBorder="1" applyProtection="1">
      <protection locked="0"/>
    </xf>
    <xf numFmtId="165" fontId="16" fillId="0" borderId="3" xfId="0" applyNumberFormat="1" applyFont="1" applyBorder="1" applyAlignment="1" applyProtection="1">
      <alignment wrapText="1"/>
      <protection locked="0"/>
    </xf>
    <xf numFmtId="165" fontId="16" fillId="7" borderId="3" xfId="0" applyNumberFormat="1" applyFont="1" applyFill="1" applyBorder="1" applyProtection="1">
      <protection locked="0"/>
    </xf>
    <xf numFmtId="0" fontId="9" fillId="2" borderId="4" xfId="0" applyFont="1" applyFill="1" applyBorder="1" applyAlignment="1">
      <alignment vertical="center"/>
    </xf>
    <xf numFmtId="0" fontId="19" fillId="0" borderId="5" xfId="0" applyFont="1" applyBorder="1"/>
    <xf numFmtId="0" fontId="4" fillId="0" borderId="7" xfId="0" applyFont="1" applyBorder="1" applyProtection="1">
      <protection locked="0"/>
    </xf>
    <xf numFmtId="0" fontId="19" fillId="0" borderId="8" xfId="0" applyFont="1" applyBorder="1" applyProtection="1">
      <protection locked="0"/>
    </xf>
    <xf numFmtId="165" fontId="4" fillId="5" borderId="4" xfId="0" applyNumberFormat="1" applyFont="1" applyFill="1" applyBorder="1"/>
    <xf numFmtId="0" fontId="25" fillId="0" borderId="0" xfId="0" applyFont="1" applyAlignment="1">
      <alignment horizontal="center"/>
    </xf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4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209550</xdr:rowOff>
    </xdr:from>
    <xdr:ext cx="9505950" cy="14001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1"/>
  <sheetViews>
    <sheetView showGridLines="0" tabSelected="1" workbookViewId="0">
      <selection activeCell="D6" sqref="D6"/>
    </sheetView>
  </sheetViews>
  <sheetFormatPr defaultColWidth="14.42578125" defaultRowHeight="15" customHeight="1" outlineLevelRow="5" outlineLevelCol="1"/>
  <cols>
    <col min="1" max="2" width="8.5703125" customWidth="1"/>
    <col min="3" max="3" width="32.85546875" customWidth="1"/>
    <col min="4" max="5" width="14.85546875" customWidth="1"/>
    <col min="6" max="6" width="18.140625" customWidth="1"/>
    <col min="7" max="8" width="20.85546875" customWidth="1"/>
    <col min="9" max="10" width="8.5703125" customWidth="1"/>
    <col min="11" max="13" width="8.5703125" hidden="1" customWidth="1" outlineLevel="1"/>
    <col min="14" max="16" width="15.42578125" hidden="1" customWidth="1" outlineLevel="1"/>
    <col min="17" max="17" width="17.5703125" hidden="1" customWidth="1" outlineLevel="1"/>
    <col min="18" max="19" width="15.42578125" hidden="1" customWidth="1" outlineLevel="1"/>
    <col min="20" max="20" width="20" hidden="1" customWidth="1" outlineLevel="1"/>
    <col min="21" max="21" width="15.42578125" hidden="1" customWidth="1" outlineLevel="1"/>
    <col min="22" max="22" width="15.85546875" hidden="1" customWidth="1" outlineLevel="1"/>
    <col min="23" max="23" width="18.42578125" hidden="1" customWidth="1" outlineLevel="1"/>
    <col min="24" max="25" width="15.42578125" hidden="1" customWidth="1" outlineLevel="1"/>
    <col min="26" max="28" width="8.5703125" hidden="1" customWidth="1" outlineLevel="1"/>
    <col min="29" max="29" width="14.42578125" collapsed="1"/>
  </cols>
  <sheetData>
    <row r="1" spans="1:28" ht="150" customHeight="1"/>
    <row r="2" spans="1:28" ht="14.25" customHeight="1">
      <c r="A2" s="1"/>
      <c r="B2" s="2" t="s">
        <v>0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>
      <c r="A3" s="4"/>
      <c r="B3" s="5">
        <v>1</v>
      </c>
      <c r="C3" s="6" t="s">
        <v>1</v>
      </c>
      <c r="D3" s="6"/>
      <c r="E3" s="6"/>
      <c r="F3" s="6"/>
      <c r="G3" s="6"/>
      <c r="H3" s="6"/>
      <c r="I3" s="6"/>
      <c r="J3" s="4"/>
      <c r="K3" s="4"/>
      <c r="L3" s="4"/>
      <c r="M3" s="4"/>
      <c r="N3" s="7" t="s">
        <v>2</v>
      </c>
      <c r="O3" s="4"/>
      <c r="P3" s="4"/>
      <c r="Q3" s="4"/>
      <c r="R3" s="4"/>
      <c r="S3" s="4"/>
      <c r="T3" s="4"/>
      <c r="U3" s="4"/>
      <c r="V3" s="4" t="s">
        <v>3</v>
      </c>
      <c r="W3" s="4"/>
      <c r="X3" s="8">
        <v>0.15</v>
      </c>
      <c r="Y3" s="4"/>
      <c r="Z3" s="4"/>
      <c r="AA3" s="4"/>
      <c r="AB3" s="9"/>
    </row>
    <row r="4" spans="1:28" ht="14.25" customHeight="1">
      <c r="A4" s="4"/>
      <c r="B4" s="10"/>
      <c r="C4" s="11"/>
      <c r="D4" s="11"/>
      <c r="E4" s="11"/>
      <c r="F4" s="11"/>
      <c r="G4" s="11"/>
      <c r="H4" s="11"/>
      <c r="I4" s="11"/>
      <c r="J4" s="4"/>
      <c r="K4" s="4"/>
      <c r="L4" s="4"/>
      <c r="M4" s="4"/>
      <c r="N4" s="12" t="s">
        <v>4</v>
      </c>
      <c r="O4" s="12"/>
      <c r="P4" s="4"/>
      <c r="Q4" s="13">
        <v>12</v>
      </c>
      <c r="R4" s="4"/>
      <c r="S4" s="4"/>
      <c r="T4" s="4"/>
      <c r="U4" s="4"/>
      <c r="V4" s="4"/>
      <c r="W4" s="4"/>
      <c r="X4" s="4"/>
      <c r="Y4" s="4"/>
      <c r="Z4" s="4"/>
      <c r="AA4" s="14"/>
      <c r="AB4" s="4"/>
    </row>
    <row r="5" spans="1:28" ht="14.25" customHeight="1">
      <c r="A5" s="4"/>
      <c r="B5" s="10"/>
      <c r="C5" s="15"/>
      <c r="D5" s="11"/>
      <c r="E5" s="11"/>
      <c r="F5" s="11"/>
      <c r="G5" s="11"/>
      <c r="H5" s="11"/>
      <c r="I5" s="11"/>
      <c r="J5" s="4"/>
      <c r="K5" s="4"/>
      <c r="L5" s="4"/>
      <c r="M5" s="4"/>
      <c r="N5" s="12" t="s">
        <v>5</v>
      </c>
      <c r="O5" s="12"/>
      <c r="P5" s="12"/>
      <c r="Q5" s="16">
        <v>0.2</v>
      </c>
      <c r="R5" s="4"/>
      <c r="S5" s="4"/>
      <c r="T5" s="4"/>
      <c r="U5" s="4"/>
      <c r="V5" s="4"/>
      <c r="W5" s="4"/>
      <c r="X5" s="4"/>
      <c r="Y5" s="4"/>
      <c r="Z5" s="4"/>
      <c r="AA5" s="17"/>
      <c r="AB5" s="4"/>
    </row>
    <row r="6" spans="1:28" ht="14.25" customHeight="1">
      <c r="A6" s="4"/>
      <c r="B6" s="10"/>
      <c r="C6" s="3" t="s">
        <v>6</v>
      </c>
      <c r="D6" s="70"/>
      <c r="E6" s="11"/>
      <c r="F6" s="11"/>
      <c r="G6" s="11"/>
      <c r="H6" s="11"/>
      <c r="I6" s="11"/>
      <c r="J6" s="4"/>
      <c r="K6" s="4"/>
      <c r="L6" s="4"/>
      <c r="M6" s="4"/>
      <c r="N6" s="12" t="s">
        <v>7</v>
      </c>
      <c r="O6" s="12"/>
      <c r="P6" s="12"/>
      <c r="Q6" s="18" t="s">
        <v>8</v>
      </c>
      <c r="R6" s="4"/>
      <c r="S6" s="4"/>
      <c r="T6" s="4"/>
      <c r="U6" s="4"/>
      <c r="V6" s="4"/>
      <c r="W6" s="4"/>
      <c r="X6" s="4"/>
      <c r="Y6" s="4"/>
      <c r="Z6" s="4"/>
      <c r="AA6" s="19"/>
      <c r="AB6" s="4"/>
    </row>
    <row r="7" spans="1:28" ht="14.25" customHeight="1">
      <c r="A7" s="4"/>
      <c r="B7" s="10"/>
      <c r="C7" s="3" t="s">
        <v>9</v>
      </c>
      <c r="D7" s="70"/>
      <c r="E7" s="11"/>
      <c r="F7" s="11"/>
      <c r="G7" s="3" t="s">
        <v>10</v>
      </c>
      <c r="H7" s="20" t="e">
        <f>D6/D7</f>
        <v>#DIV/0!</v>
      </c>
      <c r="I7" s="11"/>
      <c r="J7" s="4"/>
      <c r="K7" s="4"/>
      <c r="L7" s="4"/>
      <c r="M7" s="4"/>
      <c r="N7" s="12" t="s">
        <v>11</v>
      </c>
      <c r="O7" s="12"/>
      <c r="P7" s="12"/>
      <c r="Q7" s="16">
        <v>0</v>
      </c>
      <c r="R7" s="4"/>
      <c r="S7" s="4"/>
      <c r="T7" s="4"/>
      <c r="U7" s="4"/>
      <c r="V7" s="4"/>
      <c r="W7" s="4"/>
      <c r="X7" s="4"/>
      <c r="Y7" s="4"/>
      <c r="Z7" s="4"/>
      <c r="AA7" s="21"/>
      <c r="AB7" s="4"/>
    </row>
    <row r="8" spans="1:28" ht="14.25" customHeight="1">
      <c r="A8" s="4"/>
      <c r="B8" s="10"/>
      <c r="C8" s="11"/>
      <c r="D8" s="11"/>
      <c r="E8" s="11"/>
      <c r="F8" s="11"/>
      <c r="G8" s="11"/>
      <c r="H8" s="11"/>
      <c r="I8" s="11"/>
      <c r="J8" s="4"/>
      <c r="K8" s="4"/>
      <c r="L8" s="4"/>
      <c r="M8" s="4"/>
      <c r="N8" s="12" t="s">
        <v>12</v>
      </c>
      <c r="O8" s="12"/>
      <c r="P8" s="12"/>
      <c r="Q8" s="16">
        <v>3.5000000000000003E-2</v>
      </c>
      <c r="R8" s="4"/>
      <c r="S8" s="4"/>
      <c r="T8" s="4"/>
      <c r="U8" s="4"/>
      <c r="V8" s="4"/>
      <c r="W8" s="4"/>
      <c r="X8" s="4"/>
      <c r="Y8" s="4"/>
      <c r="Z8" s="4"/>
      <c r="AA8" s="21"/>
      <c r="AB8" s="4"/>
    </row>
    <row r="9" spans="1:28" ht="14.25" customHeight="1">
      <c r="A9" s="4"/>
      <c r="B9" s="22">
        <v>2</v>
      </c>
      <c r="C9" s="23" t="s">
        <v>13</v>
      </c>
      <c r="D9" s="23"/>
      <c r="E9" s="23"/>
      <c r="F9" s="23"/>
      <c r="G9" s="23"/>
      <c r="H9" s="23"/>
      <c r="I9" s="23"/>
      <c r="J9" s="4"/>
      <c r="K9" s="4"/>
      <c r="L9" s="4"/>
      <c r="M9" s="4"/>
      <c r="N9" s="12" t="s">
        <v>14</v>
      </c>
      <c r="O9" s="12"/>
      <c r="P9" s="12"/>
      <c r="Q9" s="16">
        <v>0.3</v>
      </c>
      <c r="R9" s="4"/>
      <c r="S9" s="4"/>
      <c r="T9" s="4"/>
      <c r="U9" s="4"/>
      <c r="V9" s="4"/>
      <c r="W9" s="4"/>
      <c r="X9" s="4"/>
      <c r="Y9" s="4"/>
      <c r="Z9" s="4"/>
      <c r="AA9" s="21"/>
      <c r="AB9" s="4"/>
    </row>
    <row r="10" spans="1:28" ht="14.25" customHeight="1">
      <c r="A10" s="4"/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12" t="s">
        <v>15</v>
      </c>
      <c r="O10" s="12"/>
      <c r="P10" s="12"/>
      <c r="Q10" s="16">
        <v>3.7999999999999999E-2</v>
      </c>
      <c r="R10" s="4"/>
      <c r="S10" s="4"/>
      <c r="T10" s="4"/>
      <c r="U10" s="4"/>
      <c r="V10" s="4"/>
      <c r="W10" s="4"/>
      <c r="X10" s="4"/>
      <c r="Y10" s="4"/>
      <c r="Z10" s="4"/>
      <c r="AA10" s="21"/>
      <c r="AB10" s="4"/>
    </row>
    <row r="11" spans="1:28" ht="14.25" customHeight="1">
      <c r="A11" s="4"/>
      <c r="B11" s="24"/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12" t="s">
        <v>16</v>
      </c>
      <c r="O11" s="12"/>
      <c r="P11" s="12"/>
      <c r="Q11" s="16">
        <v>5.2499999999999998E-2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4.25" customHeight="1">
      <c r="A12" s="1"/>
      <c r="B12" s="3"/>
      <c r="C12" s="3" t="s">
        <v>17</v>
      </c>
      <c r="D12" s="3"/>
      <c r="E12" s="71"/>
      <c r="F12" s="3"/>
      <c r="G12" s="3"/>
      <c r="H12" s="3"/>
      <c r="I12" s="3"/>
      <c r="J12" s="1"/>
      <c r="K12" s="1"/>
      <c r="L12" s="1"/>
      <c r="M12" s="1"/>
      <c r="N12" s="25" t="s">
        <v>18</v>
      </c>
      <c r="O12" s="1"/>
      <c r="P12" s="1"/>
      <c r="Q12" s="26" t="b">
        <f>E74</f>
        <v>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.5" customHeight="1">
      <c r="A13" s="1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25" t="s">
        <v>19</v>
      </c>
      <c r="O13" s="1"/>
      <c r="P13" s="1"/>
      <c r="Q13" s="27">
        <f>IF(Q12,0,15)</f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5.5" customHeight="1">
      <c r="A14" s="1"/>
      <c r="B14" s="3"/>
      <c r="C14" s="3"/>
      <c r="D14" s="3"/>
      <c r="E14" s="3"/>
      <c r="F14" s="28" t="s">
        <v>20</v>
      </c>
      <c r="G14" s="29" t="s">
        <v>21</v>
      </c>
      <c r="H14" s="29" t="s">
        <v>22</v>
      </c>
      <c r="I14" s="3"/>
      <c r="J14" s="1"/>
      <c r="K14" s="1"/>
      <c r="L14" s="1"/>
      <c r="M14" s="1"/>
      <c r="N14" s="25" t="s">
        <v>23</v>
      </c>
      <c r="O14" s="1"/>
      <c r="P14" s="1"/>
      <c r="Q14" s="30">
        <v>27500</v>
      </c>
      <c r="R14" s="31">
        <v>0.05</v>
      </c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4.25" customHeight="1">
      <c r="A15" s="1"/>
      <c r="B15" s="3"/>
      <c r="C15" s="3" t="s">
        <v>24</v>
      </c>
      <c r="D15" s="3"/>
      <c r="E15" s="3"/>
      <c r="F15" s="72">
        <v>0</v>
      </c>
      <c r="G15" s="72"/>
      <c r="H15" s="32">
        <f t="shared" ref="H15:H20" si="0">MIN(F15+G15,$Q$14)</f>
        <v>0</v>
      </c>
      <c r="I15" s="3"/>
      <c r="J15" s="1"/>
      <c r="K15" s="1"/>
      <c r="L15" s="1"/>
      <c r="M15" s="1"/>
      <c r="N15" s="25" t="s">
        <v>25</v>
      </c>
      <c r="O15" s="1"/>
      <c r="P15" s="1"/>
      <c r="Q15" s="3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4.25" customHeight="1" outlineLevel="1">
      <c r="A16" s="1"/>
      <c r="B16" s="3"/>
      <c r="C16" s="3" t="s">
        <v>26</v>
      </c>
      <c r="D16" s="3"/>
      <c r="E16" s="3"/>
      <c r="F16" s="72">
        <v>0</v>
      </c>
      <c r="G16" s="72"/>
      <c r="H16" s="32">
        <f t="shared" si="0"/>
        <v>0</v>
      </c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4.25" customHeight="1" outlineLevel="2">
      <c r="A17" s="1"/>
      <c r="B17" s="3"/>
      <c r="C17" s="3" t="s">
        <v>27</v>
      </c>
      <c r="D17" s="3"/>
      <c r="E17" s="3"/>
      <c r="F17" s="72"/>
      <c r="G17" s="72"/>
      <c r="H17" s="32">
        <f t="shared" si="0"/>
        <v>0</v>
      </c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4.25" customHeight="1" outlineLevel="3">
      <c r="A18" s="1"/>
      <c r="B18" s="3"/>
      <c r="C18" s="3" t="s">
        <v>28</v>
      </c>
      <c r="D18" s="3"/>
      <c r="E18" s="3"/>
      <c r="F18" s="72"/>
      <c r="G18" s="72"/>
      <c r="H18" s="32">
        <f t="shared" si="0"/>
        <v>0</v>
      </c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4.25" customHeight="1" outlineLevel="4">
      <c r="A19" s="1"/>
      <c r="B19" s="3"/>
      <c r="C19" s="3" t="s">
        <v>29</v>
      </c>
      <c r="D19" s="3"/>
      <c r="E19" s="3"/>
      <c r="F19" s="72"/>
      <c r="G19" s="72"/>
      <c r="H19" s="32">
        <f t="shared" si="0"/>
        <v>0</v>
      </c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4.25" customHeight="1" outlineLevel="5">
      <c r="A20" s="1"/>
      <c r="B20" s="3"/>
      <c r="C20" s="3" t="s">
        <v>30</v>
      </c>
      <c r="D20" s="3"/>
      <c r="E20" s="3"/>
      <c r="F20" s="72"/>
      <c r="G20" s="72"/>
      <c r="H20" s="32">
        <f t="shared" si="0"/>
        <v>0</v>
      </c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 customHeight="1">
      <c r="A21" s="4"/>
      <c r="B21" s="24"/>
      <c r="C21" s="33"/>
      <c r="D21" s="33"/>
      <c r="E21" s="33"/>
      <c r="F21" s="33"/>
      <c r="G21" s="33"/>
      <c r="H21" s="33"/>
      <c r="I21" s="2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v>10</v>
      </c>
    </row>
    <row r="22" spans="1:28" ht="14.25" customHeight="1">
      <c r="A22" s="4"/>
      <c r="B22" s="22">
        <v>3</v>
      </c>
      <c r="C22" s="78" t="s">
        <v>31</v>
      </c>
      <c r="D22" s="79"/>
      <c r="E22" s="79"/>
      <c r="F22" s="79"/>
      <c r="G22" s="79"/>
      <c r="H22" s="79"/>
      <c r="I22" s="79"/>
      <c r="J22" s="4"/>
      <c r="K22" s="4"/>
      <c r="L22" s="4"/>
      <c r="M22" s="4"/>
      <c r="N22" s="12" t="s">
        <v>32</v>
      </c>
      <c r="O22" s="34"/>
      <c r="P22" s="34" t="s">
        <v>33</v>
      </c>
      <c r="Q22" s="34" t="s">
        <v>34</v>
      </c>
      <c r="R22" s="34" t="s">
        <v>35</v>
      </c>
      <c r="S22" s="34" t="s">
        <v>36</v>
      </c>
      <c r="T22" s="35" t="s">
        <v>37</v>
      </c>
      <c r="U22" s="34" t="s">
        <v>38</v>
      </c>
      <c r="V22" s="34" t="s">
        <v>39</v>
      </c>
      <c r="W22" s="34" t="s">
        <v>40</v>
      </c>
      <c r="X22" s="34" t="s">
        <v>41</v>
      </c>
      <c r="Y22" s="34" t="s">
        <v>42</v>
      </c>
      <c r="Z22" s="4"/>
      <c r="AA22" s="4"/>
      <c r="AB22" s="4">
        <v>11</v>
      </c>
    </row>
    <row r="23" spans="1:28" ht="14.25" customHeight="1">
      <c r="A23" s="4"/>
      <c r="B23" s="24"/>
      <c r="C23" s="24"/>
      <c r="D23" s="24"/>
      <c r="E23" s="24"/>
      <c r="F23" s="24"/>
      <c r="G23" s="24"/>
      <c r="H23" s="24"/>
      <c r="I23" s="24"/>
      <c r="J23" s="4"/>
      <c r="K23" s="4"/>
      <c r="L23" s="4"/>
      <c r="M23" s="4"/>
      <c r="N23" s="34"/>
      <c r="O23" s="4" t="s">
        <v>43</v>
      </c>
      <c r="P23" s="36">
        <f>SUM(H15:H20)</f>
        <v>0</v>
      </c>
      <c r="Q23" s="36">
        <f>H51*Q8</f>
        <v>0</v>
      </c>
      <c r="R23" s="36">
        <f>H24*(1-Q5)</f>
        <v>0</v>
      </c>
      <c r="S23" s="36">
        <f>H25*(1-Q5)</f>
        <v>0</v>
      </c>
      <c r="T23" s="36">
        <f>H54*12</f>
        <v>0</v>
      </c>
      <c r="U23" s="36">
        <f>H26*(1-Q9)</f>
        <v>0</v>
      </c>
      <c r="V23" s="36">
        <f>(D6*F68)+(D36*D35)+(E36*E35)+(F36*F35)+(G36*G35)+(D41*D40)+(E41+E40)+(F41*F40)+(G41*G40)</f>
        <v>0</v>
      </c>
      <c r="W23" s="36">
        <f>P23+Q23+R23+S23+U23-V23+T23</f>
        <v>0</v>
      </c>
      <c r="X23" s="36">
        <f>W23*X3</f>
        <v>0</v>
      </c>
      <c r="Y23" s="36">
        <f>SUM(P23:U23)-X23</f>
        <v>0</v>
      </c>
      <c r="Z23" s="4"/>
      <c r="AA23" s="4"/>
      <c r="AB23" s="4">
        <v>12</v>
      </c>
    </row>
    <row r="24" spans="1:28" ht="14.25" customHeight="1">
      <c r="A24" s="1"/>
      <c r="B24" s="3"/>
      <c r="C24" s="3" t="s">
        <v>44</v>
      </c>
      <c r="D24" s="3"/>
      <c r="E24" s="3"/>
      <c r="F24" s="3"/>
      <c r="G24" s="3"/>
      <c r="H24" s="72"/>
      <c r="I24" s="3"/>
      <c r="J24" s="1"/>
      <c r="K24" s="1"/>
      <c r="L24" s="1"/>
      <c r="M24" s="1"/>
      <c r="N24" s="37"/>
      <c r="O24" s="1" t="s">
        <v>45</v>
      </c>
      <c r="P24" s="38">
        <f t="shared" ref="P24:S24" si="1">P23/12</f>
        <v>0</v>
      </c>
      <c r="Q24" s="38">
        <f t="shared" si="1"/>
        <v>0</v>
      </c>
      <c r="R24" s="38">
        <f t="shared" si="1"/>
        <v>0</v>
      </c>
      <c r="S24" s="38">
        <f t="shared" si="1"/>
        <v>0</v>
      </c>
      <c r="T24" s="38">
        <f>H54</f>
        <v>0</v>
      </c>
      <c r="U24" s="38">
        <f t="shared" ref="U24:Y24" si="2">U23/12</f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1"/>
      <c r="AA24" s="1"/>
      <c r="AB24" s="1">
        <v>13</v>
      </c>
    </row>
    <row r="25" spans="1:28" ht="14.25" customHeight="1">
      <c r="A25" s="1"/>
      <c r="B25" s="3"/>
      <c r="C25" s="3" t="s">
        <v>46</v>
      </c>
      <c r="D25" s="3"/>
      <c r="E25" s="3"/>
      <c r="F25" s="3"/>
      <c r="G25" s="3"/>
      <c r="H25" s="72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14</v>
      </c>
    </row>
    <row r="26" spans="1:28" ht="14.25" customHeight="1">
      <c r="A26" s="1"/>
      <c r="B26" s="3"/>
      <c r="C26" s="3" t="s">
        <v>47</v>
      </c>
      <c r="D26" s="3"/>
      <c r="E26" s="3"/>
      <c r="F26" s="3"/>
      <c r="G26" s="3"/>
      <c r="H26" s="72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15</v>
      </c>
    </row>
    <row r="27" spans="1:28" ht="14.25" customHeight="1">
      <c r="A27" s="4"/>
      <c r="B27" s="24"/>
      <c r="C27" s="24"/>
      <c r="D27" s="24"/>
      <c r="E27" s="24"/>
      <c r="F27" s="24"/>
      <c r="G27" s="24"/>
      <c r="H27" s="24"/>
      <c r="I27" s="2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ref="AB27:AB41" si="3">AB26+1</f>
        <v>16</v>
      </c>
    </row>
    <row r="28" spans="1:28" ht="14.25" customHeight="1">
      <c r="A28" s="4"/>
      <c r="B28" s="39">
        <v>4</v>
      </c>
      <c r="C28" s="39" t="s">
        <v>48</v>
      </c>
      <c r="D28" s="39"/>
      <c r="E28" s="39"/>
      <c r="F28" s="39"/>
      <c r="G28" s="39"/>
      <c r="H28" s="39"/>
      <c r="I28" s="39"/>
      <c r="J28" s="4"/>
      <c r="K28" s="4"/>
      <c r="L28" s="4"/>
      <c r="M28" s="4"/>
      <c r="N28" s="4" t="s">
        <v>49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3"/>
        <v>17</v>
      </c>
    </row>
    <row r="29" spans="1:28" ht="14.25" customHeight="1">
      <c r="A29" s="4"/>
      <c r="B29" s="24"/>
      <c r="C29" s="24"/>
      <c r="D29" s="24"/>
      <c r="E29" s="24"/>
      <c r="F29" s="24"/>
      <c r="G29" s="24"/>
      <c r="H29" s="24"/>
      <c r="I29" s="24"/>
      <c r="J29" s="4"/>
      <c r="K29" s="4"/>
      <c r="L29" s="4"/>
      <c r="M29" s="4"/>
      <c r="N29" s="40">
        <f>SUM(D35:G35)+SUM(D40:G40)++D6</f>
        <v>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3"/>
        <v>18</v>
      </c>
    </row>
    <row r="30" spans="1:28" ht="14.25" customHeight="1">
      <c r="A30" s="1"/>
      <c r="B30" s="3"/>
      <c r="C30" s="3" t="s">
        <v>50</v>
      </c>
      <c r="D30" s="3"/>
      <c r="E30" s="3"/>
      <c r="F30" s="3"/>
      <c r="G30" s="3"/>
      <c r="H30" s="72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f t="shared" si="3"/>
        <v>19</v>
      </c>
    </row>
    <row r="31" spans="1:28" ht="14.25" customHeight="1">
      <c r="A31" s="1"/>
      <c r="B31" s="3"/>
      <c r="C31" s="3" t="s">
        <v>51</v>
      </c>
      <c r="D31" s="3"/>
      <c r="E31" s="3"/>
      <c r="F31" s="3"/>
      <c r="G31" s="3"/>
      <c r="H31" s="72">
        <v>1500</v>
      </c>
      <c r="I31" s="3"/>
      <c r="J31" s="1"/>
      <c r="K31" s="1"/>
      <c r="L31" s="1"/>
      <c r="M31" s="1"/>
      <c r="N31" s="1" t="s">
        <v>52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f t="shared" si="3"/>
        <v>20</v>
      </c>
    </row>
    <row r="32" spans="1:28" ht="14.25" customHeight="1">
      <c r="A32" s="4"/>
      <c r="B32" s="24"/>
      <c r="C32" s="15"/>
      <c r="D32" s="24"/>
      <c r="E32" s="24"/>
      <c r="F32" s="24"/>
      <c r="G32" s="24"/>
      <c r="H32" s="24"/>
      <c r="I32" s="24"/>
      <c r="J32" s="4"/>
      <c r="K32" s="4"/>
      <c r="L32" s="4"/>
      <c r="M32" s="4"/>
      <c r="N32" s="40">
        <f>SUM(D46:G46)</f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f t="shared" si="3"/>
        <v>21</v>
      </c>
    </row>
    <row r="33" spans="1:28" ht="14.25" customHeight="1">
      <c r="A33" s="4"/>
      <c r="B33" s="39">
        <v>5</v>
      </c>
      <c r="C33" s="39" t="s">
        <v>53</v>
      </c>
      <c r="D33" s="39"/>
      <c r="E33" s="39"/>
      <c r="F33" s="39"/>
      <c r="G33" s="39"/>
      <c r="H33" s="39"/>
      <c r="I33" s="39"/>
      <c r="J33" s="4"/>
      <c r="K33" s="4"/>
      <c r="L33" s="4"/>
      <c r="M33" s="4"/>
      <c r="N33" s="4" t="s">
        <v>54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 t="shared" si="3"/>
        <v>22</v>
      </c>
    </row>
    <row r="34" spans="1:28" ht="14.25" customHeight="1">
      <c r="A34" s="4"/>
      <c r="B34" s="24"/>
      <c r="C34" s="24"/>
      <c r="D34" s="24"/>
      <c r="E34" s="24"/>
      <c r="F34" s="24"/>
      <c r="G34" s="24"/>
      <c r="H34" s="24"/>
      <c r="I34" s="24"/>
      <c r="J34" s="4"/>
      <c r="K34" s="4"/>
      <c r="L34" s="4"/>
      <c r="M34" s="4"/>
      <c r="N34" s="40">
        <f>N29+N32</f>
        <v>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f t="shared" si="3"/>
        <v>23</v>
      </c>
    </row>
    <row r="35" spans="1:28" ht="14.25" customHeight="1">
      <c r="A35" s="1"/>
      <c r="B35" s="3"/>
      <c r="C35" s="3" t="s">
        <v>55</v>
      </c>
      <c r="D35" s="73"/>
      <c r="E35" s="73"/>
      <c r="F35" s="73"/>
      <c r="G35" s="73"/>
      <c r="H35" s="41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f t="shared" si="3"/>
        <v>24</v>
      </c>
    </row>
    <row r="36" spans="1:28" ht="14.25" customHeight="1">
      <c r="A36" s="1"/>
      <c r="B36" s="3"/>
      <c r="C36" s="3" t="s">
        <v>56</v>
      </c>
      <c r="D36" s="74"/>
      <c r="E36" s="74"/>
      <c r="F36" s="74"/>
      <c r="G36" s="74"/>
      <c r="H36" s="41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f t="shared" si="3"/>
        <v>25</v>
      </c>
    </row>
    <row r="37" spans="1:28" ht="14.25" customHeight="1">
      <c r="A37" s="1"/>
      <c r="B37" s="3"/>
      <c r="C37" s="3" t="s">
        <v>57</v>
      </c>
      <c r="D37" s="73"/>
      <c r="E37" s="73"/>
      <c r="F37" s="73"/>
      <c r="G37" s="73"/>
      <c r="H37" s="4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f t="shared" si="3"/>
        <v>26</v>
      </c>
    </row>
    <row r="38" spans="1:28" ht="14.25" customHeight="1">
      <c r="A38" s="1"/>
      <c r="B38" s="3"/>
      <c r="C38" s="3" t="s">
        <v>58</v>
      </c>
      <c r="D38" s="42" t="e">
        <f t="shared" ref="D38:G38" si="4">MAX(D37,PMT(((D36+2%)/12),$H$67,-D35),PMT($H$76,$H$67,-D35))</f>
        <v>#VALUE!</v>
      </c>
      <c r="E38" s="42" t="e">
        <f t="shared" si="4"/>
        <v>#VALUE!</v>
      </c>
      <c r="F38" s="42" t="e">
        <f t="shared" si="4"/>
        <v>#VALUE!</v>
      </c>
      <c r="G38" s="42" t="e">
        <f t="shared" si="4"/>
        <v>#VALUE!</v>
      </c>
      <c r="H38" s="43" t="e">
        <f>SUM(D38:G38)</f>
        <v>#VALUE!</v>
      </c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f t="shared" si="3"/>
        <v>27</v>
      </c>
    </row>
    <row r="39" spans="1:28" ht="14.25" customHeight="1">
      <c r="A39" s="1"/>
      <c r="B39" s="3"/>
      <c r="C39" s="3"/>
      <c r="D39" s="3"/>
      <c r="E39" s="3"/>
      <c r="F39" s="3"/>
      <c r="G39" s="3"/>
      <c r="H39" s="3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f t="shared" si="3"/>
        <v>28</v>
      </c>
    </row>
    <row r="40" spans="1:28" ht="14.25" customHeight="1">
      <c r="A40" s="1"/>
      <c r="B40" s="3"/>
      <c r="C40" s="3" t="s">
        <v>55</v>
      </c>
      <c r="D40" s="73"/>
      <c r="E40" s="73"/>
      <c r="F40" s="73"/>
      <c r="G40" s="73"/>
      <c r="H40" s="41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f t="shared" si="3"/>
        <v>29</v>
      </c>
    </row>
    <row r="41" spans="1:28" ht="14.25" customHeight="1">
      <c r="A41" s="1"/>
      <c r="B41" s="3"/>
      <c r="C41" s="3" t="s">
        <v>56</v>
      </c>
      <c r="D41" s="74"/>
      <c r="E41" s="74"/>
      <c r="F41" s="74"/>
      <c r="G41" s="74"/>
      <c r="H41" s="41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f t="shared" si="3"/>
        <v>30</v>
      </c>
    </row>
    <row r="42" spans="1:28" ht="14.25" customHeight="1">
      <c r="A42" s="1"/>
      <c r="B42" s="3"/>
      <c r="C42" s="3" t="s">
        <v>57</v>
      </c>
      <c r="D42" s="73"/>
      <c r="E42" s="73"/>
      <c r="F42" s="73"/>
      <c r="G42" s="73"/>
      <c r="H42" s="4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 customHeight="1">
      <c r="A43" s="1"/>
      <c r="B43" s="3"/>
      <c r="C43" s="3" t="s">
        <v>58</v>
      </c>
      <c r="D43" s="42" t="e">
        <f t="shared" ref="D43:G43" si="5">MAX(D42,PMT(((D41+2%)/12),$H$67,-D40),PMT($H$76,$H$67,-D40))</f>
        <v>#VALUE!</v>
      </c>
      <c r="E43" s="42" t="e">
        <f t="shared" si="5"/>
        <v>#VALUE!</v>
      </c>
      <c r="F43" s="42" t="e">
        <f t="shared" si="5"/>
        <v>#VALUE!</v>
      </c>
      <c r="G43" s="42" t="e">
        <f t="shared" si="5"/>
        <v>#VALUE!</v>
      </c>
      <c r="H43" s="43" t="e">
        <f>SUM(D43:G43)</f>
        <v>#VALUE!</v>
      </c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 customHeight="1">
      <c r="A44" s="1"/>
      <c r="B44" s="3"/>
      <c r="C44" s="3"/>
      <c r="D44" s="3"/>
      <c r="E44" s="3"/>
      <c r="F44" s="3"/>
      <c r="G44" s="3"/>
      <c r="H44" s="3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 customHeight="1">
      <c r="A45" s="1"/>
      <c r="B45" s="3"/>
      <c r="C45" s="3"/>
      <c r="D45" s="3"/>
      <c r="E45" s="3"/>
      <c r="F45" s="3"/>
      <c r="G45" s="3"/>
      <c r="H45" s="3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 customHeight="1">
      <c r="A46" s="1"/>
      <c r="B46" s="3"/>
      <c r="C46" s="3" t="s">
        <v>59</v>
      </c>
      <c r="D46" s="73"/>
      <c r="E46" s="73"/>
      <c r="F46" s="73"/>
      <c r="G46" s="73"/>
      <c r="H46" s="3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 customHeight="1">
      <c r="A47" s="1"/>
      <c r="B47" s="3"/>
      <c r="C47" s="3" t="s">
        <v>60</v>
      </c>
      <c r="D47" s="75"/>
      <c r="E47" s="75"/>
      <c r="F47" s="75"/>
      <c r="G47" s="75"/>
      <c r="H47" s="43">
        <f>SUM(D47:G47)</f>
        <v>0</v>
      </c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 customHeight="1">
      <c r="A48" s="4"/>
      <c r="B48" s="24"/>
      <c r="C48" s="24"/>
      <c r="D48" s="24"/>
      <c r="E48" s="24"/>
      <c r="F48" s="24"/>
      <c r="G48" s="24"/>
      <c r="H48" s="24"/>
      <c r="I48" s="2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4.25" customHeight="1">
      <c r="A49" s="4"/>
      <c r="B49" s="39">
        <v>6</v>
      </c>
      <c r="C49" s="39" t="s">
        <v>61</v>
      </c>
      <c r="D49" s="39"/>
      <c r="E49" s="39"/>
      <c r="F49" s="39"/>
      <c r="G49" s="39"/>
      <c r="H49" s="39"/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4.25" customHeight="1">
      <c r="A50" s="4"/>
      <c r="B50" s="24"/>
      <c r="C50" s="24"/>
      <c r="D50" s="24"/>
      <c r="E50" s="24"/>
      <c r="F50" s="24"/>
      <c r="G50" s="24"/>
      <c r="H50" s="24"/>
      <c r="I50" s="2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39" customHeight="1">
      <c r="A51" s="44"/>
      <c r="B51" s="28"/>
      <c r="C51" s="45" t="s">
        <v>62</v>
      </c>
      <c r="D51" s="28"/>
      <c r="E51" s="28"/>
      <c r="F51" s="28"/>
      <c r="G51" s="28"/>
      <c r="H51" s="76"/>
      <c r="I51" s="28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:28" ht="14.25" customHeight="1">
      <c r="A52" s="4"/>
      <c r="B52" s="24"/>
      <c r="C52" s="24"/>
      <c r="D52" s="24"/>
      <c r="E52" s="24"/>
      <c r="F52" s="24"/>
      <c r="G52" s="24"/>
      <c r="H52" s="24"/>
      <c r="I52" s="24"/>
      <c r="J52" s="4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4.25" customHeight="1">
      <c r="A53" s="4"/>
      <c r="B53" s="39">
        <v>7</v>
      </c>
      <c r="C53" s="39" t="s">
        <v>63</v>
      </c>
      <c r="D53" s="39"/>
      <c r="E53" s="39"/>
      <c r="F53" s="39"/>
      <c r="G53" s="39"/>
      <c r="H53" s="47"/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4.25" customHeight="1">
      <c r="A54" s="4"/>
      <c r="B54" s="24"/>
      <c r="C54" s="24" t="s">
        <v>64</v>
      </c>
      <c r="D54" s="24"/>
      <c r="E54" s="24"/>
      <c r="F54" s="24"/>
      <c r="G54" s="24"/>
      <c r="H54" s="77"/>
      <c r="I54" s="2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4.25" customHeight="1">
      <c r="A55" s="4"/>
      <c r="B55" s="24"/>
      <c r="C55" s="24" t="s">
        <v>65</v>
      </c>
      <c r="D55" s="24"/>
      <c r="E55" s="24"/>
      <c r="F55" s="24"/>
      <c r="G55" s="24"/>
      <c r="H55" s="48">
        <f>V23</f>
        <v>0</v>
      </c>
      <c r="I55" s="2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4.25" customHeight="1">
      <c r="A56" s="4"/>
      <c r="B56" s="24"/>
      <c r="C56" s="24" t="s">
        <v>66</v>
      </c>
      <c r="D56" s="24"/>
      <c r="E56" s="24"/>
      <c r="F56" s="24"/>
      <c r="G56" s="24"/>
      <c r="H56" s="49">
        <f>(Y23/12)</f>
        <v>0</v>
      </c>
      <c r="I56" s="2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4.25" customHeight="1">
      <c r="A57" s="4"/>
      <c r="B57" s="24"/>
      <c r="C57" s="24" t="s">
        <v>67</v>
      </c>
      <c r="D57" s="24"/>
      <c r="E57" s="24"/>
      <c r="F57" s="24"/>
      <c r="G57" s="24"/>
      <c r="H57" s="49" t="e">
        <f>(H30+H31)/12+H38+H43+H47</f>
        <v>#VALUE!</v>
      </c>
      <c r="I57" s="2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4.25" customHeight="1">
      <c r="A58" s="4"/>
      <c r="B58" s="24"/>
      <c r="C58" s="24" t="s">
        <v>68</v>
      </c>
      <c r="D58" s="24"/>
      <c r="E58" s="24"/>
      <c r="F58" s="24"/>
      <c r="G58" s="24"/>
      <c r="H58" s="49" t="e">
        <f>H56-H57</f>
        <v>#VALUE!</v>
      </c>
      <c r="I58" s="2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4.25" customHeight="1">
      <c r="A59" s="4"/>
      <c r="B59" s="24"/>
      <c r="C59" s="24"/>
      <c r="D59" s="24"/>
      <c r="E59" s="24"/>
      <c r="F59" s="24"/>
      <c r="G59" s="24"/>
      <c r="H59" s="24"/>
      <c r="I59" s="2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4.25" customHeight="1">
      <c r="A60" s="4"/>
      <c r="B60" s="50">
        <v>8</v>
      </c>
      <c r="C60" s="39" t="s">
        <v>69</v>
      </c>
      <c r="D60" s="39"/>
      <c r="E60" s="39"/>
      <c r="F60" s="51"/>
      <c r="G60" s="39"/>
      <c r="H60" s="39"/>
      <c r="I60" s="5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4.25" customHeight="1">
      <c r="A61" s="4"/>
      <c r="B61" s="24"/>
      <c r="C61" s="24"/>
      <c r="D61" s="24"/>
      <c r="E61" s="24"/>
      <c r="F61" s="24"/>
      <c r="G61" s="24"/>
      <c r="H61" s="24"/>
      <c r="I61" s="2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4.25" customHeight="1">
      <c r="A62" s="4"/>
      <c r="B62" s="24"/>
      <c r="C62" s="24"/>
      <c r="D62" s="24"/>
      <c r="E62" s="24"/>
      <c r="F62" s="24"/>
      <c r="G62" s="24"/>
      <c r="H62" s="24"/>
      <c r="I62" s="2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4.25" customHeight="1">
      <c r="A63" s="4"/>
      <c r="B63" s="24"/>
      <c r="C63" s="53" t="s">
        <v>70</v>
      </c>
      <c r="D63" s="24"/>
      <c r="E63" s="80" t="s">
        <v>71</v>
      </c>
      <c r="F63" s="81"/>
      <c r="G63" s="3"/>
      <c r="H63" s="3"/>
      <c r="I63" s="2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4.25" customHeight="1">
      <c r="A64" s="4"/>
      <c r="B64" s="24"/>
      <c r="C64" s="53" t="s">
        <v>72</v>
      </c>
      <c r="D64" s="24"/>
      <c r="E64" s="80"/>
      <c r="F64" s="81"/>
      <c r="G64" s="3"/>
      <c r="H64" s="3"/>
      <c r="I64" s="2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4.25" customHeight="1">
      <c r="A65" s="4"/>
      <c r="B65" s="24"/>
      <c r="C65" s="53" t="s">
        <v>73</v>
      </c>
      <c r="D65" s="24"/>
      <c r="E65" s="82">
        <f>D6</f>
        <v>0</v>
      </c>
      <c r="F65" s="79"/>
      <c r="G65" s="3"/>
      <c r="H65" s="3"/>
      <c r="I65" s="2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4.25" customHeight="1">
      <c r="A66" s="4"/>
      <c r="B66" s="24"/>
      <c r="C66" s="53"/>
      <c r="D66" s="24"/>
      <c r="E66" s="3"/>
      <c r="F66" s="3"/>
      <c r="G66" s="3"/>
      <c r="H66" s="3"/>
      <c r="I66" s="2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4.25" customHeight="1">
      <c r="A67" s="4"/>
      <c r="B67" s="24"/>
      <c r="C67" s="53" t="s">
        <v>74</v>
      </c>
      <c r="D67" s="24"/>
      <c r="E67" s="3"/>
      <c r="F67" s="71"/>
      <c r="G67" s="3"/>
      <c r="H67" s="54" t="str">
        <f>IF(F67*$Q$4=0,"",F67*$Q$4)</f>
        <v/>
      </c>
      <c r="I67" s="2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4.25" customHeight="1">
      <c r="A68" s="4"/>
      <c r="B68" s="24"/>
      <c r="C68" s="53" t="s">
        <v>75</v>
      </c>
      <c r="D68" s="24"/>
      <c r="E68" s="3"/>
      <c r="F68" s="74"/>
      <c r="G68" s="3"/>
      <c r="H68" s="55" t="str">
        <f>IF(F68/$Q$4=0,"",F68/$Q$4)</f>
        <v/>
      </c>
      <c r="I68" s="2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4.25" customHeight="1">
      <c r="A69" s="4"/>
      <c r="B69" s="24"/>
      <c r="C69" s="53"/>
      <c r="D69" s="24"/>
      <c r="E69" s="3"/>
      <c r="F69" s="3"/>
      <c r="G69" s="3"/>
      <c r="H69" s="3"/>
      <c r="I69" s="2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4.25" customHeight="1">
      <c r="A70" s="4"/>
      <c r="B70" s="24"/>
      <c r="C70" s="53" t="s">
        <v>76</v>
      </c>
      <c r="D70" s="24"/>
      <c r="E70" s="3"/>
      <c r="F70" s="3"/>
      <c r="G70" s="3"/>
      <c r="H70" s="56" t="str">
        <f>IF(OR(ISTEXT($H$68),ISTEXT($H$67)),"",PMT($H$68,$H$67-IF($E$63="Principal and Interest",0,$E$64*$Q$4),-$E$65)+$Q$13)</f>
        <v/>
      </c>
      <c r="I70" s="2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4.25" customHeight="1">
      <c r="A71" s="4"/>
      <c r="B71" s="24"/>
      <c r="C71" s="24"/>
      <c r="D71" s="24"/>
      <c r="E71" s="24"/>
      <c r="F71" s="24"/>
      <c r="G71" s="24"/>
      <c r="H71" s="24"/>
      <c r="I71" s="2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4.25" customHeight="1">
      <c r="A72" s="4"/>
      <c r="B72" s="50">
        <v>8</v>
      </c>
      <c r="C72" s="39" t="s">
        <v>77</v>
      </c>
      <c r="D72" s="39"/>
      <c r="E72" s="39"/>
      <c r="F72" s="51"/>
      <c r="G72" s="39"/>
      <c r="H72" s="39"/>
      <c r="I72" s="52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4.25" customHeight="1">
      <c r="A73" s="4"/>
      <c r="B73" s="24"/>
      <c r="C73" s="24"/>
      <c r="D73" s="24"/>
      <c r="E73" s="24"/>
      <c r="F73" s="24"/>
      <c r="G73" s="24"/>
      <c r="H73" s="24"/>
      <c r="I73" s="2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4.25" customHeight="1">
      <c r="A74" s="4"/>
      <c r="B74" s="24"/>
      <c r="C74" s="3" t="s">
        <v>78</v>
      </c>
      <c r="D74" s="3"/>
      <c r="E74" s="3" t="b">
        <v>1</v>
      </c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4.25" customHeight="1">
      <c r="A75" s="4"/>
      <c r="B75" s="24"/>
      <c r="C75" s="3"/>
      <c r="D75" s="3"/>
      <c r="E75" s="3"/>
      <c r="F75" s="3"/>
      <c r="G75" s="3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4.25" customHeight="1">
      <c r="A76" s="4"/>
      <c r="B76" s="24"/>
      <c r="C76" s="3" t="s">
        <v>79</v>
      </c>
      <c r="D76" s="3"/>
      <c r="E76" s="55" t="str">
        <f>IF(F68=0,"",MAX($Q$11,F68+2%))</f>
        <v/>
      </c>
      <c r="F76" s="3"/>
      <c r="G76" s="3"/>
      <c r="H76" s="55" t="str">
        <f>IFERROR(E76/$Q$4,"")</f>
        <v/>
      </c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4.25" customHeight="1">
      <c r="A77" s="4"/>
      <c r="B77" s="24"/>
      <c r="C77" s="3" t="s">
        <v>76</v>
      </c>
      <c r="D77" s="3"/>
      <c r="E77" s="3"/>
      <c r="F77" s="3"/>
      <c r="G77" s="3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4.25" customHeight="1">
      <c r="A78" s="4"/>
      <c r="B78" s="24"/>
      <c r="C78" s="3" t="s">
        <v>80</v>
      </c>
      <c r="D78" s="3"/>
      <c r="E78" s="3"/>
      <c r="F78" s="3"/>
      <c r="G78" s="3"/>
      <c r="H78" s="56" t="str">
        <f>H70</f>
        <v/>
      </c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4.25" customHeight="1">
      <c r="A79" s="4"/>
      <c r="B79" s="24"/>
      <c r="C79" s="3" t="s">
        <v>81</v>
      </c>
      <c r="D79" s="3"/>
      <c r="E79" s="3"/>
      <c r="F79" s="3"/>
      <c r="G79" s="3"/>
      <c r="H79" s="57" t="str">
        <f>IF(OR(ISTEXT($H$76),ISTEXT($H$67)),"",PMT($H$76,$H$67-IF($E$63="Principal and Interest",0,$E$64*$Q$4),-$E$65)+$Q$13)</f>
        <v/>
      </c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4.25" customHeight="1">
      <c r="A80" s="4"/>
      <c r="B80" s="24"/>
      <c r="C80" s="3" t="s">
        <v>82</v>
      </c>
      <c r="D80" s="3"/>
      <c r="E80" s="3"/>
      <c r="F80" s="3"/>
      <c r="G80" s="3"/>
      <c r="H80" s="58" t="str">
        <f>IF(OR(ISTEXT($H$68),ISTEXT($H$67)),"loan data missing",H$58-H79)</f>
        <v>loan data missing</v>
      </c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4.25" customHeight="1">
      <c r="A81" s="4"/>
      <c r="B81" s="24"/>
      <c r="C81" s="3"/>
      <c r="D81" s="3"/>
      <c r="E81" s="3"/>
      <c r="F81" s="3"/>
      <c r="G81" s="3"/>
      <c r="H81" s="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4.25" customHeight="1">
      <c r="A82" s="4"/>
      <c r="B82" s="24"/>
      <c r="C82" s="3" t="s">
        <v>98</v>
      </c>
      <c r="D82" s="3"/>
      <c r="E82" s="3"/>
      <c r="F82" s="3"/>
      <c r="G82" s="3"/>
      <c r="H82" s="55" t="e">
        <f>H51/N34</f>
        <v>#DIV/0!</v>
      </c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4.25" customHeight="1">
      <c r="A83" s="4"/>
      <c r="B83" s="24"/>
      <c r="C83" s="3"/>
      <c r="D83" s="3"/>
      <c r="E83" s="3"/>
      <c r="F83" s="3"/>
      <c r="G83" s="3"/>
      <c r="H83" s="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4.25" customHeight="1">
      <c r="A84" s="4"/>
      <c r="B84" s="24"/>
      <c r="C84" s="3" t="s">
        <v>83</v>
      </c>
      <c r="D84" s="3" t="s">
        <v>84</v>
      </c>
      <c r="E84" s="3" t="str">
        <f>IF(H80&gt;1,"Pass","Fail")</f>
        <v>Pass</v>
      </c>
      <c r="F84" s="3"/>
      <c r="G84" s="3"/>
      <c r="H84" s="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4.25" customHeight="1">
      <c r="A85" s="4"/>
      <c r="B85" s="24"/>
      <c r="C85" s="3"/>
      <c r="D85" s="3"/>
      <c r="E85" s="3"/>
      <c r="F85" s="3"/>
      <c r="G85" s="3"/>
      <c r="H85" s="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4.25" customHeight="1">
      <c r="A86" s="4"/>
      <c r="B86" s="3" t="str">
        <f>"Version "&amp;TEXT(MAX('Version History'!A:A),"0.0")&amp;TEXT(MAX('Version History'!$C:$C)," mmm yyyy")</f>
        <v>Version 3.1 Oct 2023</v>
      </c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4.25" customHeight="1"/>
    <row r="90" spans="1:28" ht="14.25" customHeight="1"/>
    <row r="91" spans="1:28" ht="14.25" customHeight="1"/>
    <row r="92" spans="1:28" ht="14.25" customHeight="1"/>
    <row r="93" spans="1:28" ht="14.25" customHeight="1"/>
    <row r="94" spans="1:28" ht="14.25" customHeight="1"/>
    <row r="95" spans="1:28" ht="14.25" customHeight="1"/>
    <row r="96" spans="1:28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algorithmName="SHA-512" hashValue="CSZmPm9LKitApG3rcLjdhDu0VSwK91GhzhtobfKaXPcdY6xfLvKe2d+OpiXZ+xoAhW1zCvhEvUP0jixHpaBI1w==" saltValue="j8QpELoW1L7tIDLOcPlK4w==" spinCount="100000" sheet="1" objects="1" scenarios="1" selectLockedCells="1"/>
  <mergeCells count="4">
    <mergeCell ref="C22:I22"/>
    <mergeCell ref="E63:F63"/>
    <mergeCell ref="E64:F64"/>
    <mergeCell ref="E65:F65"/>
  </mergeCells>
  <conditionalFormatting sqref="E84">
    <cfRule type="containsText" dxfId="3" priority="1" operator="containsText" text="Pass">
      <formula>NOT(ISERROR(SEARCH(("Pass"),(E84))))</formula>
    </cfRule>
    <cfRule type="containsText" dxfId="2" priority="2" operator="containsText" text="Fail">
      <formula>NOT(ISERROR(SEARCH(("Fail"),(E84))))</formula>
    </cfRule>
  </conditionalFormatting>
  <conditionalFormatting sqref="H84">
    <cfRule type="containsText" dxfId="1" priority="3" operator="containsText" text="Pass">
      <formula>NOT(ISERROR(SEARCH(("Pass"),(H84))))</formula>
    </cfRule>
    <cfRule type="containsText" dxfId="0" priority="4" operator="containsText" text="Fail">
      <formula>NOT(ISERROR(SEARCH(("Fail"),(H84))))</formula>
    </cfRule>
  </conditionalFormatting>
  <dataValidations count="5">
    <dataValidation type="decimal" operator="greaterThanOrEqual" allowBlank="1" showDropDown="1" showErrorMessage="1" sqref="H31" xr:uid="{00000000-0002-0000-0000-000000000000}">
      <formula1>1500</formula1>
    </dataValidation>
    <dataValidation type="list" allowBlank="1" showErrorMessage="1" sqref="E64" xr:uid="{00000000-0002-0000-0000-000001000000}">
      <formula1>"3,5"</formula1>
    </dataValidation>
    <dataValidation type="list" allowBlank="1" showErrorMessage="1" sqref="F67" xr:uid="{00000000-0002-0000-0000-000002000000}">
      <formula1>$AB$21:$AB$41</formula1>
    </dataValidation>
    <dataValidation type="list" allowBlank="1" sqref="E12" xr:uid="{00000000-0002-0000-0000-000003000000}">
      <formula1>"1,2,3,4,5,6"</formula1>
    </dataValidation>
    <dataValidation type="list" allowBlank="1" sqref="E63" xr:uid="{00000000-0002-0000-0000-000004000000}">
      <formula1>"Principal and Interest,Interest Only"</formula1>
    </dataValidation>
  </dataValidation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0"/>
  <sheetViews>
    <sheetView workbookViewId="0">
      <selection activeCell="D11" sqref="D11"/>
    </sheetView>
  </sheetViews>
  <sheetFormatPr defaultColWidth="14.42578125" defaultRowHeight="15" customHeight="1"/>
  <cols>
    <col min="2" max="2" width="25" customWidth="1"/>
    <col min="4" max="4" width="95.42578125" customWidth="1"/>
  </cols>
  <sheetData>
    <row r="1" spans="1:5">
      <c r="A1" s="59" t="s">
        <v>85</v>
      </c>
      <c r="B1" s="60" t="s">
        <v>86</v>
      </c>
      <c r="C1" s="61" t="s">
        <v>87</v>
      </c>
      <c r="D1" s="60" t="s">
        <v>88</v>
      </c>
      <c r="E1" s="60" t="s">
        <v>89</v>
      </c>
    </row>
    <row r="2" spans="1:5">
      <c r="A2" s="62">
        <v>1</v>
      </c>
      <c r="B2" s="63" t="s">
        <v>90</v>
      </c>
      <c r="C2" s="64">
        <v>44749</v>
      </c>
      <c r="D2" s="63" t="s">
        <v>91</v>
      </c>
      <c r="E2" s="63"/>
    </row>
    <row r="3" spans="1:5">
      <c r="A3" s="62">
        <v>2</v>
      </c>
      <c r="B3" s="63" t="s">
        <v>90</v>
      </c>
      <c r="C3" s="65">
        <v>44781</v>
      </c>
      <c r="D3" s="66" t="s">
        <v>92</v>
      </c>
    </row>
    <row r="4" spans="1:5">
      <c r="A4" s="67">
        <v>2.1</v>
      </c>
      <c r="B4" s="63" t="s">
        <v>90</v>
      </c>
      <c r="C4" s="64">
        <v>44825</v>
      </c>
      <c r="D4" s="66" t="s">
        <v>93</v>
      </c>
    </row>
    <row r="5" spans="1:5">
      <c r="A5" s="67">
        <v>2.2000000000000002</v>
      </c>
      <c r="B5" s="63" t="s">
        <v>90</v>
      </c>
      <c r="C5" s="64">
        <v>44883</v>
      </c>
      <c r="D5" s="66" t="s">
        <v>94</v>
      </c>
    </row>
    <row r="6" spans="1:5" ht="15" customHeight="1">
      <c r="A6" s="67">
        <v>2.2999999999999998</v>
      </c>
      <c r="B6" s="63" t="s">
        <v>90</v>
      </c>
      <c r="C6" s="64">
        <v>45076</v>
      </c>
      <c r="D6" s="66" t="s">
        <v>95</v>
      </c>
    </row>
    <row r="7" spans="1:5">
      <c r="A7" s="83">
        <v>3</v>
      </c>
      <c r="B7" s="68" t="s">
        <v>96</v>
      </c>
      <c r="C7" s="69">
        <v>45176</v>
      </c>
      <c r="D7" s="68" t="s">
        <v>97</v>
      </c>
    </row>
    <row r="8" spans="1:5" ht="15" customHeight="1">
      <c r="A8" s="67">
        <v>3.1</v>
      </c>
      <c r="B8" s="63" t="s">
        <v>90</v>
      </c>
      <c r="C8" s="84">
        <v>45218</v>
      </c>
      <c r="D8" s="85" t="s">
        <v>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SMSF Servicability Calc</vt:lpstr>
      <vt:lpstr>Version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Peters</dc:creator>
  <cp:lastModifiedBy>Matthew Hodel</cp:lastModifiedBy>
  <dcterms:created xsi:type="dcterms:W3CDTF">2023-09-25T07:40:10Z</dcterms:created>
  <dcterms:modified xsi:type="dcterms:W3CDTF">2023-10-18T23:12:54Z</dcterms:modified>
</cp:coreProperties>
</file>